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00" yWindow="0" windowWidth="25600" windowHeight="174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H28" i="1"/>
  <c r="B42" i="1"/>
  <c r="E42" i="1"/>
  <c r="F42" i="1"/>
  <c r="B41" i="1"/>
  <c r="F41" i="1"/>
  <c r="B40" i="1"/>
  <c r="F40" i="1"/>
  <c r="B39" i="1"/>
  <c r="F39" i="1"/>
  <c r="B38" i="1"/>
  <c r="F38" i="1"/>
  <c r="B37" i="1"/>
  <c r="F37" i="1"/>
  <c r="B36" i="1"/>
  <c r="F36" i="1"/>
  <c r="B35" i="1"/>
  <c r="F35" i="1"/>
  <c r="B34" i="1"/>
  <c r="F34" i="1"/>
  <c r="E33" i="1"/>
  <c r="F33" i="1"/>
  <c r="B26" i="1"/>
  <c r="B25" i="1"/>
  <c r="H34" i="1"/>
  <c r="H35" i="1"/>
  <c r="H36" i="1"/>
  <c r="H37" i="1"/>
  <c r="H38" i="1"/>
  <c r="H39" i="1"/>
  <c r="H40" i="1"/>
  <c r="H41" i="1"/>
  <c r="H42" i="1"/>
  <c r="H33" i="1"/>
  <c r="B16" i="1"/>
  <c r="F16" i="1"/>
  <c r="H16" i="1"/>
  <c r="B17" i="1"/>
  <c r="F17" i="1"/>
  <c r="H17" i="1"/>
  <c r="B18" i="1"/>
  <c r="F18" i="1"/>
  <c r="H18" i="1"/>
  <c r="B19" i="1"/>
  <c r="F19" i="1"/>
  <c r="H19" i="1"/>
  <c r="B20" i="1"/>
  <c r="F20" i="1"/>
  <c r="H20" i="1"/>
  <c r="B21" i="1"/>
  <c r="F21" i="1"/>
  <c r="H21" i="1"/>
  <c r="B22" i="1"/>
  <c r="F22" i="1"/>
  <c r="H22" i="1"/>
  <c r="B23" i="1"/>
  <c r="F23" i="1"/>
  <c r="H23" i="1"/>
  <c r="B24" i="1"/>
  <c r="F24" i="1"/>
  <c r="H24" i="1"/>
  <c r="F25" i="1"/>
  <c r="H25" i="1"/>
  <c r="F26" i="1"/>
  <c r="H26" i="1"/>
  <c r="B27" i="1"/>
  <c r="F27" i="1"/>
  <c r="H27" i="1"/>
  <c r="B15" i="1"/>
  <c r="F15" i="1"/>
  <c r="H15" i="1"/>
  <c r="H30" i="1"/>
  <c r="H44" i="1"/>
  <c r="H46" i="1"/>
  <c r="H47" i="1"/>
  <c r="H48" i="1"/>
</calcChain>
</file>

<file path=xl/sharedStrings.xml><?xml version="1.0" encoding="utf-8"?>
<sst xmlns="http://schemas.openxmlformats.org/spreadsheetml/2006/main" count="127" uniqueCount="76">
  <si>
    <t>Item</t>
  </si>
  <si>
    <t>Unit Cost</t>
  </si>
  <si>
    <t>Total Cost</t>
  </si>
  <si>
    <t>ID-12 RFID Reader</t>
  </si>
  <si>
    <t>SMD Attiny85</t>
  </si>
  <si>
    <t>SMD RN-42 Bluetooth Module</t>
  </si>
  <si>
    <t>WS2801 IC</t>
  </si>
  <si>
    <t>5060BRG4 SMD RGB LED</t>
  </si>
  <si>
    <t>SMD Resistor</t>
  </si>
  <si>
    <t xml:space="preserve">SMD Capacitor </t>
  </si>
  <si>
    <t>110mAh LiPo battery</t>
  </si>
  <si>
    <t>USB Type 'Mini-B' Female SMD connector</t>
  </si>
  <si>
    <t>Battery Charging circuitry (parts?)</t>
  </si>
  <si>
    <t>Rebound 25 Brushable Silicone Rubber</t>
  </si>
  <si>
    <t>EasyCast Clear Casting Epoxy</t>
  </si>
  <si>
    <t>White Powder Dye</t>
  </si>
  <si>
    <t>Workshop</t>
  </si>
  <si>
    <t>Quantity (units/oz/months)</t>
  </si>
  <si>
    <t>Lead Time</t>
  </si>
  <si>
    <t>Belt Sander</t>
  </si>
  <si>
    <t>Work Table</t>
  </si>
  <si>
    <t>Paper Roll</t>
  </si>
  <si>
    <t>Capital Materials</t>
  </si>
  <si>
    <t>Product Materials</t>
  </si>
  <si>
    <t>Wooden Mixing Sticks</t>
  </si>
  <si>
    <t>Plastic Buckets</t>
  </si>
  <si>
    <t>3D Printed Amulets</t>
  </si>
  <si>
    <t>Acrylic</t>
  </si>
  <si>
    <t>Units</t>
  </si>
  <si>
    <t>#</t>
  </si>
  <si>
    <t>fl oz</t>
  </si>
  <si>
    <t>months</t>
  </si>
  <si>
    <t>sq in</t>
  </si>
  <si>
    <t>Duct Tape</t>
  </si>
  <si>
    <t>roll</t>
  </si>
  <si>
    <t>Employees</t>
  </si>
  <si>
    <t>Total</t>
  </si>
  <si>
    <t>Total Units to Produce</t>
  </si>
  <si>
    <t>Average Rock Volume</t>
  </si>
  <si>
    <t>Average Mold Volume</t>
  </si>
  <si>
    <t>%</t>
  </si>
  <si>
    <t>Dye Mix Ratio</t>
  </si>
  <si>
    <t>Supplier</t>
  </si>
  <si>
    <t>Desired Profit Margin</t>
  </si>
  <si>
    <t>Total For Product Materials</t>
  </si>
  <si>
    <t>Total For Capital Materials</t>
  </si>
  <si>
    <t>Unit Assembly Time</t>
  </si>
  <si>
    <t>day</t>
  </si>
  <si>
    <t>Possible Concurrent Units</t>
  </si>
  <si>
    <t>Retail Price Per Unit</t>
  </si>
  <si>
    <t>people per hour</t>
  </si>
  <si>
    <t>$</t>
  </si>
  <si>
    <t>CICTR</t>
  </si>
  <si>
    <t>Shapeways</t>
  </si>
  <si>
    <t>Professional Plastics</t>
  </si>
  <si>
    <t>Employee Hourly Wage</t>
  </si>
  <si>
    <t>Total Price Per Unit</t>
  </si>
  <si>
    <t>seeed studio</t>
  </si>
  <si>
    <t>digikey</t>
  </si>
  <si>
    <t>smooth-on</t>
  </si>
  <si>
    <t>Amazon</t>
  </si>
  <si>
    <t>Word-of-mouth</t>
  </si>
  <si>
    <t>Circuit Board Printing Services</t>
  </si>
  <si>
    <t>boards</t>
  </si>
  <si>
    <t>sparkfun</t>
  </si>
  <si>
    <t>Total Tax</t>
  </si>
  <si>
    <t>Total Shipping</t>
  </si>
  <si>
    <t>digikey (requires min 800)</t>
  </si>
  <si>
    <t>digikey (requires min 5000)</t>
  </si>
  <si>
    <t>digikey (requires min 10000)</t>
  </si>
  <si>
    <t>digikey (min Q 700)</t>
  </si>
  <si>
    <t>digikey (guess…)</t>
  </si>
  <si>
    <t>Tax Rate</t>
  </si>
  <si>
    <t>gallons</t>
  </si>
  <si>
    <t>blick art studio</t>
  </si>
  <si>
    <t>UPS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</si>
</sst>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b/>
      <u/>
      <sz val="14"/>
      <color rgb="FF000000"/>
      <name val="Times New Roman"/>
    </font>
    <font>
      <b/>
      <u/>
      <sz val="14"/>
      <color theme="1"/>
      <name val="Calibri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  <font>
      <sz val="12"/>
      <color rgb="FF000000"/>
      <name val="Times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right"/>
    </xf>
    <xf numFmtId="0" fontId="11" fillId="0" borderId="0" xfId="0" applyFont="1"/>
    <xf numFmtId="0" fontId="0" fillId="3" borderId="0" xfId="0" applyFill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48"/>
  <sheetViews>
    <sheetView tabSelected="1" showRuler="0" topLeftCell="C35" zoomScale="200" zoomScaleNormal="200" zoomScalePageLayoutView="200" workbookViewId="0">
      <selection activeCell="H48" sqref="H48"/>
    </sheetView>
  </sheetViews>
  <sheetFormatPr baseColWidth="10" defaultRowHeight="15" x14ac:dyDescent="0"/>
  <cols>
    <col min="1" max="1" width="37" customWidth="1"/>
    <col min="2" max="2" width="34" customWidth="1"/>
    <col min="3" max="3" width="14.5" customWidth="1"/>
    <col min="4" max="4" width="20.83203125" customWidth="1"/>
    <col min="5" max="5" width="11.5" customWidth="1"/>
    <col min="6" max="6" width="12" customWidth="1"/>
    <col min="7" max="7" width="15.6640625" customWidth="1"/>
    <col min="8" max="8" width="16.1640625" customWidth="1"/>
    <col min="9" max="9" width="14.6640625" customWidth="1"/>
  </cols>
  <sheetData>
    <row r="2" spans="1:9">
      <c r="A2" s="8" t="s">
        <v>37</v>
      </c>
      <c r="B2">
        <v>500</v>
      </c>
      <c r="C2" t="s">
        <v>29</v>
      </c>
    </row>
    <row r="3" spans="1:9">
      <c r="A3" s="8" t="s">
        <v>38</v>
      </c>
      <c r="B3">
        <v>0.5</v>
      </c>
      <c r="C3" t="s">
        <v>30</v>
      </c>
    </row>
    <row r="4" spans="1:9">
      <c r="A4" s="8" t="s">
        <v>39</v>
      </c>
      <c r="B4">
        <v>0.8</v>
      </c>
      <c r="C4" t="s">
        <v>30</v>
      </c>
    </row>
    <row r="5" spans="1:9">
      <c r="A5" s="8" t="s">
        <v>41</v>
      </c>
      <c r="B5">
        <v>1</v>
      </c>
      <c r="C5" t="s">
        <v>40</v>
      </c>
    </row>
    <row r="6" spans="1:9">
      <c r="A6" s="8" t="s">
        <v>43</v>
      </c>
      <c r="B6">
        <v>100</v>
      </c>
      <c r="C6" t="s">
        <v>40</v>
      </c>
    </row>
    <row r="7" spans="1:9">
      <c r="A7" s="8" t="s">
        <v>46</v>
      </c>
      <c r="B7">
        <v>1</v>
      </c>
      <c r="C7" t="s">
        <v>47</v>
      </c>
    </row>
    <row r="8" spans="1:9">
      <c r="A8" s="8" t="s">
        <v>48</v>
      </c>
      <c r="B8">
        <v>50</v>
      </c>
      <c r="C8" t="s">
        <v>29</v>
      </c>
    </row>
    <row r="9" spans="1:9">
      <c r="A9" s="8" t="s">
        <v>55</v>
      </c>
      <c r="B9">
        <v>25</v>
      </c>
      <c r="C9" t="s">
        <v>51</v>
      </c>
    </row>
    <row r="10" spans="1:9">
      <c r="A10" s="8" t="s">
        <v>72</v>
      </c>
      <c r="B10">
        <v>6.25</v>
      </c>
      <c r="C10" t="s">
        <v>40</v>
      </c>
    </row>
    <row r="12" spans="1:9" ht="18">
      <c r="A12" s="6" t="s">
        <v>0</v>
      </c>
      <c r="B12" s="6" t="s">
        <v>17</v>
      </c>
      <c r="C12" s="6" t="s">
        <v>28</v>
      </c>
      <c r="D12" s="6" t="s">
        <v>42</v>
      </c>
      <c r="E12" s="6" t="s">
        <v>1</v>
      </c>
      <c r="F12" s="6" t="s">
        <v>65</v>
      </c>
      <c r="G12" s="6" t="s">
        <v>66</v>
      </c>
      <c r="H12" s="6" t="s">
        <v>2</v>
      </c>
      <c r="I12" s="6" t="s">
        <v>18</v>
      </c>
    </row>
    <row r="14" spans="1:9" ht="18">
      <c r="A14" s="4" t="s">
        <v>23</v>
      </c>
    </row>
    <row r="15" spans="1:9">
      <c r="A15" s="1" t="s">
        <v>3</v>
      </c>
      <c r="B15">
        <f>B2</f>
        <v>500</v>
      </c>
      <c r="C15" t="s">
        <v>29</v>
      </c>
      <c r="D15" t="s">
        <v>64</v>
      </c>
      <c r="E15">
        <v>23.96</v>
      </c>
      <c r="F15">
        <f>($B10/100)*B15*E15</f>
        <v>748.75</v>
      </c>
      <c r="G15">
        <v>25</v>
      </c>
      <c r="H15">
        <f>(E15*B15+F15+G15)</f>
        <v>12753.75</v>
      </c>
      <c r="I15" t="s">
        <v>75</v>
      </c>
    </row>
    <row r="16" spans="1:9">
      <c r="A16" s="1" t="s">
        <v>4</v>
      </c>
      <c r="B16">
        <f>B2</f>
        <v>500</v>
      </c>
      <c r="C16" t="s">
        <v>29</v>
      </c>
      <c r="D16" t="s">
        <v>58</v>
      </c>
      <c r="E16">
        <v>0.66</v>
      </c>
      <c r="F16">
        <f>($B10/100)*B16*E16</f>
        <v>20.625</v>
      </c>
      <c r="G16">
        <v>2</v>
      </c>
      <c r="H16">
        <f t="shared" ref="H16:H28" si="0">(E16*B16+F16+G16)</f>
        <v>352.625</v>
      </c>
      <c r="I16" t="s">
        <v>75</v>
      </c>
    </row>
    <row r="17" spans="1:9">
      <c r="A17" s="1" t="s">
        <v>5</v>
      </c>
      <c r="B17">
        <f>MAX(B2,800)</f>
        <v>800</v>
      </c>
      <c r="C17" t="s">
        <v>29</v>
      </c>
      <c r="D17" t="s">
        <v>67</v>
      </c>
      <c r="E17">
        <v>15.43</v>
      </c>
      <c r="F17">
        <f>($B10/100)*B17*E17</f>
        <v>771.5</v>
      </c>
      <c r="G17">
        <v>2</v>
      </c>
      <c r="H17">
        <f t="shared" si="0"/>
        <v>13117.5</v>
      </c>
      <c r="I17" t="s">
        <v>75</v>
      </c>
    </row>
    <row r="18" spans="1:9">
      <c r="A18" s="1" t="s">
        <v>6</v>
      </c>
      <c r="B18">
        <f>B2</f>
        <v>500</v>
      </c>
      <c r="C18" t="s">
        <v>29</v>
      </c>
      <c r="D18" t="s">
        <v>64</v>
      </c>
      <c r="E18">
        <v>0.6</v>
      </c>
      <c r="F18">
        <f>($B10/100)*B18*E18</f>
        <v>18.75</v>
      </c>
      <c r="G18">
        <v>25</v>
      </c>
      <c r="H18">
        <f t="shared" si="0"/>
        <v>343.75</v>
      </c>
      <c r="I18" t="s">
        <v>75</v>
      </c>
    </row>
    <row r="19" spans="1:9">
      <c r="A19" s="2" t="s">
        <v>7</v>
      </c>
      <c r="B19">
        <f>B2</f>
        <v>500</v>
      </c>
      <c r="C19" t="s">
        <v>29</v>
      </c>
      <c r="D19" t="s">
        <v>64</v>
      </c>
      <c r="E19">
        <v>0.76</v>
      </c>
      <c r="F19">
        <f>($B4/100)*B19*E19</f>
        <v>3.04</v>
      </c>
      <c r="G19">
        <v>25</v>
      </c>
      <c r="H19">
        <f t="shared" si="0"/>
        <v>408.04</v>
      </c>
      <c r="I19" t="s">
        <v>75</v>
      </c>
    </row>
    <row r="20" spans="1:9">
      <c r="A20" s="2" t="s">
        <v>8</v>
      </c>
      <c r="B20">
        <f>MAX(5000,B2*3)</f>
        <v>5000</v>
      </c>
      <c r="C20" t="s">
        <v>29</v>
      </c>
      <c r="D20" t="s">
        <v>68</v>
      </c>
      <c r="E20" s="10">
        <v>1.5200000000000001E-3</v>
      </c>
      <c r="F20">
        <f>($B5/100)*B20*E20</f>
        <v>7.5999999999999998E-2</v>
      </c>
      <c r="G20">
        <v>2</v>
      </c>
      <c r="H20">
        <f t="shared" si="0"/>
        <v>9.6760000000000002</v>
      </c>
      <c r="I20" t="s">
        <v>75</v>
      </c>
    </row>
    <row r="21" spans="1:9">
      <c r="A21" s="2" t="s">
        <v>9</v>
      </c>
      <c r="B21">
        <f>MAX(10000,B2)</f>
        <v>10000</v>
      </c>
      <c r="C21" t="s">
        <v>29</v>
      </c>
      <c r="D21" t="s">
        <v>69</v>
      </c>
      <c r="E21" s="10">
        <v>2.0999999999999999E-3</v>
      </c>
      <c r="F21">
        <f>($B10/100)*B21*E21</f>
        <v>1.3125</v>
      </c>
      <c r="G21">
        <v>2</v>
      </c>
      <c r="H21">
        <f t="shared" si="0"/>
        <v>24.3125</v>
      </c>
      <c r="I21" t="s">
        <v>75</v>
      </c>
    </row>
    <row r="22" spans="1:9">
      <c r="A22" s="2" t="s">
        <v>10</v>
      </c>
      <c r="B22">
        <f>B2</f>
        <v>500</v>
      </c>
      <c r="C22" t="s">
        <v>29</v>
      </c>
      <c r="D22" t="s">
        <v>64</v>
      </c>
      <c r="E22">
        <v>5.56</v>
      </c>
      <c r="F22">
        <f>($B10/100)*B22*E22</f>
        <v>173.75</v>
      </c>
      <c r="G22">
        <v>25</v>
      </c>
      <c r="H22">
        <f t="shared" si="0"/>
        <v>2978.75</v>
      </c>
      <c r="I22" t="s">
        <v>75</v>
      </c>
    </row>
    <row r="23" spans="1:9">
      <c r="A23" s="2" t="s">
        <v>11</v>
      </c>
      <c r="B23">
        <f>MAX(700,B2)</f>
        <v>700</v>
      </c>
      <c r="C23" t="s">
        <v>29</v>
      </c>
      <c r="D23" t="s">
        <v>70</v>
      </c>
      <c r="E23" s="10">
        <v>0.85055999999999998</v>
      </c>
      <c r="F23">
        <f>($B10/100)*B23*E23</f>
        <v>37.211999999999996</v>
      </c>
      <c r="G23">
        <v>2</v>
      </c>
      <c r="H23">
        <f t="shared" si="0"/>
        <v>634.60399999999993</v>
      </c>
      <c r="I23" t="s">
        <v>75</v>
      </c>
    </row>
    <row r="24" spans="1:9">
      <c r="A24" s="2" t="s">
        <v>12</v>
      </c>
      <c r="B24">
        <f>B2</f>
        <v>500</v>
      </c>
      <c r="C24" t="s">
        <v>29</v>
      </c>
      <c r="D24" t="s">
        <v>71</v>
      </c>
      <c r="E24">
        <v>1</v>
      </c>
      <c r="F24">
        <f>($B10/100)*B24*E24</f>
        <v>31.25</v>
      </c>
      <c r="G24">
        <v>2</v>
      </c>
      <c r="H24">
        <f t="shared" si="0"/>
        <v>533.25</v>
      </c>
      <c r="I24" t="s">
        <v>75</v>
      </c>
    </row>
    <row r="25" spans="1:9">
      <c r="A25" s="2" t="s">
        <v>13</v>
      </c>
      <c r="B25">
        <f>CEILING((B2*B4)/128,1)</f>
        <v>4</v>
      </c>
      <c r="C25" t="s">
        <v>73</v>
      </c>
      <c r="D25" t="s">
        <v>59</v>
      </c>
      <c r="E25">
        <v>153.03</v>
      </c>
      <c r="F25">
        <f>($B10/100)*B25*E25</f>
        <v>38.2575</v>
      </c>
      <c r="G25">
        <v>30.97</v>
      </c>
      <c r="H25">
        <f t="shared" si="0"/>
        <v>681.34750000000008</v>
      </c>
      <c r="I25" t="s">
        <v>75</v>
      </c>
    </row>
    <row r="26" spans="1:9">
      <c r="A26" s="2" t="s">
        <v>14</v>
      </c>
      <c r="B26">
        <f>CEILING((B2*B3)/128,1)</f>
        <v>2</v>
      </c>
      <c r="C26" t="s">
        <v>73</v>
      </c>
      <c r="D26" t="s">
        <v>59</v>
      </c>
      <c r="E26">
        <v>98.12</v>
      </c>
      <c r="F26">
        <f>($B10/100)*B26*E26</f>
        <v>12.265000000000001</v>
      </c>
      <c r="G26">
        <v>30.97</v>
      </c>
      <c r="H26">
        <f t="shared" si="0"/>
        <v>239.47499999999999</v>
      </c>
      <c r="I26" t="s">
        <v>75</v>
      </c>
    </row>
    <row r="27" spans="1:9">
      <c r="A27" s="2" t="s">
        <v>15</v>
      </c>
      <c r="B27">
        <f>B2*B3*(B5/100)</f>
        <v>2.5</v>
      </c>
      <c r="C27" t="s">
        <v>30</v>
      </c>
      <c r="D27" t="s">
        <v>74</v>
      </c>
      <c r="E27">
        <v>1</v>
      </c>
      <c r="F27">
        <f>($B10/100)*B27*E27</f>
        <v>0.15625</v>
      </c>
      <c r="G27">
        <v>0</v>
      </c>
      <c r="H27">
        <f t="shared" si="0"/>
        <v>2.65625</v>
      </c>
      <c r="I27" t="s">
        <v>75</v>
      </c>
    </row>
    <row r="28" spans="1:9">
      <c r="A28" s="2" t="s">
        <v>62</v>
      </c>
      <c r="B28">
        <v>500</v>
      </c>
      <c r="C28" t="s">
        <v>63</v>
      </c>
      <c r="D28" t="s">
        <v>57</v>
      </c>
      <c r="E28">
        <v>1</v>
      </c>
      <c r="F28">
        <f>($B10/100)*B28*E28</f>
        <v>31.25</v>
      </c>
      <c r="G28">
        <v>75.150000000000006</v>
      </c>
      <c r="H28">
        <f t="shared" si="0"/>
        <v>606.4</v>
      </c>
      <c r="I28" t="s">
        <v>75</v>
      </c>
    </row>
    <row r="30" spans="1:9">
      <c r="A30" s="7" t="s">
        <v>44</v>
      </c>
      <c r="G30" s="9" t="s">
        <v>51</v>
      </c>
      <c r="H30">
        <f>SUM(H15:H27)</f>
        <v>32079.736249999998</v>
      </c>
    </row>
    <row r="31" spans="1:9">
      <c r="A31" s="2"/>
    </row>
    <row r="32" spans="1:9" ht="16">
      <c r="A32" s="3" t="s">
        <v>22</v>
      </c>
    </row>
    <row r="33" spans="1:9">
      <c r="A33" s="2" t="s">
        <v>16</v>
      </c>
      <c r="B33">
        <v>2</v>
      </c>
      <c r="C33" t="s">
        <v>31</v>
      </c>
      <c r="D33" t="s">
        <v>52</v>
      </c>
      <c r="E33">
        <f>500*(B42+1)</f>
        <v>1000</v>
      </c>
      <c r="F33">
        <f>($B10/100)*B33*E33</f>
        <v>125</v>
      </c>
      <c r="G33">
        <v>0</v>
      </c>
      <c r="H33">
        <f>(E33*B33+F33+G33)</f>
        <v>2125</v>
      </c>
      <c r="I33">
        <v>0</v>
      </c>
    </row>
    <row r="34" spans="1:9">
      <c r="A34" s="2" t="s">
        <v>19</v>
      </c>
      <c r="B34">
        <f>CEILING(B8/50,1)</f>
        <v>1</v>
      </c>
      <c r="C34" t="s">
        <v>29</v>
      </c>
      <c r="D34" t="s">
        <v>60</v>
      </c>
      <c r="E34">
        <v>104.95</v>
      </c>
      <c r="F34">
        <f>($B10/100)*B34*E34</f>
        <v>6.5593750000000002</v>
      </c>
      <c r="G34">
        <v>9.69</v>
      </c>
      <c r="H34">
        <f t="shared" ref="H34:H42" si="1">(E34*B34+F34+G34)</f>
        <v>121.199375</v>
      </c>
      <c r="I34" t="s">
        <v>75</v>
      </c>
    </row>
    <row r="35" spans="1:9">
      <c r="A35" s="2" t="s">
        <v>20</v>
      </c>
      <c r="B35">
        <f>2*CEILING(B8/50,1)</f>
        <v>2</v>
      </c>
      <c r="C35" t="s">
        <v>29</v>
      </c>
      <c r="D35" t="s">
        <v>60</v>
      </c>
      <c r="E35">
        <v>61.22</v>
      </c>
      <c r="F35">
        <f>($B10/100)*B35*E35</f>
        <v>7.6524999999999999</v>
      </c>
      <c r="G35">
        <v>9.69</v>
      </c>
      <c r="H35">
        <f t="shared" si="1"/>
        <v>139.7825</v>
      </c>
      <c r="I35" t="s">
        <v>75</v>
      </c>
    </row>
    <row r="36" spans="1:9">
      <c r="A36" s="2" t="s">
        <v>21</v>
      </c>
      <c r="B36">
        <f>CEILING(B2/500,1)</f>
        <v>1</v>
      </c>
      <c r="C36" t="s">
        <v>29</v>
      </c>
      <c r="D36" t="s">
        <v>60</v>
      </c>
      <c r="E36">
        <v>15</v>
      </c>
      <c r="F36">
        <f>($B10/100)*B36*E36</f>
        <v>0.9375</v>
      </c>
      <c r="G36">
        <v>9.69</v>
      </c>
      <c r="H36">
        <f t="shared" si="1"/>
        <v>25.627499999999998</v>
      </c>
      <c r="I36" t="s">
        <v>75</v>
      </c>
    </row>
    <row r="37" spans="1:9">
      <c r="A37" s="2" t="s">
        <v>24</v>
      </c>
      <c r="B37">
        <f>100*CEILING(B2/500,1)</f>
        <v>100</v>
      </c>
      <c r="C37" t="s">
        <v>29</v>
      </c>
      <c r="D37" t="s">
        <v>60</v>
      </c>
      <c r="E37">
        <v>5</v>
      </c>
      <c r="F37">
        <f>($B10/100)*B37*E37</f>
        <v>31.25</v>
      </c>
      <c r="G37">
        <v>9.69</v>
      </c>
      <c r="H37">
        <f t="shared" si="1"/>
        <v>540.94000000000005</v>
      </c>
      <c r="I37" t="s">
        <v>75</v>
      </c>
    </row>
    <row r="38" spans="1:9">
      <c r="A38" s="2" t="s">
        <v>25</v>
      </c>
      <c r="B38">
        <f>4*CEILING(B2/500,1)</f>
        <v>4</v>
      </c>
      <c r="C38" t="s">
        <v>29</v>
      </c>
      <c r="D38" t="s">
        <v>60</v>
      </c>
      <c r="E38">
        <v>10</v>
      </c>
      <c r="F38">
        <f>($B10/100)*B38*E38</f>
        <v>2.5</v>
      </c>
      <c r="G38">
        <v>9.69</v>
      </c>
      <c r="H38">
        <f t="shared" si="1"/>
        <v>52.19</v>
      </c>
      <c r="I38" t="s">
        <v>75</v>
      </c>
    </row>
    <row r="39" spans="1:9">
      <c r="A39" s="2" t="s">
        <v>26</v>
      </c>
      <c r="B39">
        <f>B8</f>
        <v>50</v>
      </c>
      <c r="C39" t="s">
        <v>29</v>
      </c>
      <c r="D39" t="s">
        <v>53</v>
      </c>
      <c r="E39">
        <v>5</v>
      </c>
      <c r="F39">
        <f>($B10/100)*B39*E39</f>
        <v>15.625</v>
      </c>
      <c r="G39">
        <v>50</v>
      </c>
      <c r="H39">
        <f t="shared" si="1"/>
        <v>315.625</v>
      </c>
    </row>
    <row r="40" spans="1:9">
      <c r="A40" s="2" t="s">
        <v>27</v>
      </c>
      <c r="B40">
        <f>6*B2</f>
        <v>3000</v>
      </c>
      <c r="C40" t="s">
        <v>32</v>
      </c>
      <c r="D40" t="s">
        <v>54</v>
      </c>
      <c r="E40">
        <v>0.13900000000000001</v>
      </c>
      <c r="F40">
        <f>($B10/100)*B40*E40</f>
        <v>26.062500000000004</v>
      </c>
      <c r="G40">
        <v>50</v>
      </c>
      <c r="H40">
        <f t="shared" si="1"/>
        <v>493.06250000000006</v>
      </c>
    </row>
    <row r="41" spans="1:9">
      <c r="A41" s="2" t="s">
        <v>33</v>
      </c>
      <c r="B41">
        <f>CEILING(B2/500,1)</f>
        <v>1</v>
      </c>
      <c r="C41" t="s">
        <v>34</v>
      </c>
      <c r="D41" t="s">
        <v>60</v>
      </c>
      <c r="E41">
        <v>3</v>
      </c>
      <c r="F41">
        <f>($B10/100)*B41*E41</f>
        <v>0.1875</v>
      </c>
      <c r="G41">
        <v>9.69</v>
      </c>
      <c r="H41">
        <f t="shared" si="1"/>
        <v>12.8775</v>
      </c>
    </row>
    <row r="42" spans="1:9">
      <c r="A42" s="2" t="s">
        <v>35</v>
      </c>
      <c r="B42">
        <f>CEILING(B8/50,1)</f>
        <v>1</v>
      </c>
      <c r="C42" t="s">
        <v>50</v>
      </c>
      <c r="D42" t="s">
        <v>61</v>
      </c>
      <c r="E42">
        <f>B33*4*40*B9</f>
        <v>8000</v>
      </c>
      <c r="F42">
        <f>($B10/100)*B42*E42</f>
        <v>500</v>
      </c>
      <c r="G42">
        <v>0</v>
      </c>
      <c r="H42">
        <f t="shared" si="1"/>
        <v>8500</v>
      </c>
      <c r="I42" t="s">
        <v>75</v>
      </c>
    </row>
    <row r="44" spans="1:9">
      <c r="A44" s="7" t="s">
        <v>45</v>
      </c>
      <c r="H44">
        <f>SUM(H33:H42)</f>
        <v>12326.304375</v>
      </c>
    </row>
    <row r="46" spans="1:9">
      <c r="A46" s="5" t="s">
        <v>36</v>
      </c>
      <c r="H46">
        <f>(H30+H44)</f>
        <v>44406.040624999994</v>
      </c>
    </row>
    <row r="47" spans="1:9">
      <c r="A47" s="5" t="s">
        <v>56</v>
      </c>
      <c r="H47">
        <f>(H46/B2)</f>
        <v>88.812081249999991</v>
      </c>
    </row>
    <row r="48" spans="1:9">
      <c r="A48" s="5" t="s">
        <v>49</v>
      </c>
      <c r="H48" s="11">
        <f>(H46/B2)*(1+B6/100)</f>
        <v>177.62416249999998</v>
      </c>
    </row>
  </sheetData>
  <phoneticPr fontId="10" type="noConversion"/>
  <pageMargins left="0.75" right="0.75" top="1" bottom="1" header="0.5" footer="0.5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Salzberg</dc:creator>
  <cp:lastModifiedBy>Shaun Salzberg</cp:lastModifiedBy>
  <cp:lastPrinted>2012-04-10T14:54:46Z</cp:lastPrinted>
  <dcterms:created xsi:type="dcterms:W3CDTF">2012-04-09T01:05:45Z</dcterms:created>
  <dcterms:modified xsi:type="dcterms:W3CDTF">2012-05-20T21:14:18Z</dcterms:modified>
</cp:coreProperties>
</file>